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  <sheet name="P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<sst xmlns="http://schemas.openxmlformats.org/spreadsheetml/2006/main" count="102" uniqueCount="70">
  <si>
    <t>Ejemplo para trabajadores a los cuales se les proporciona alimentación y vivienda.</t>
  </si>
  <si>
    <t>CATEGORIA</t>
  </si>
  <si>
    <t>MENSUAL</t>
  </si>
  <si>
    <t>ALIM. Y VIV.</t>
  </si>
  <si>
    <t>APORTE</t>
  </si>
  <si>
    <t>JUBILATORIO</t>
  </si>
  <si>
    <t>FONDO</t>
  </si>
  <si>
    <t>RECONV.LAB.</t>
  </si>
  <si>
    <t>EFECTIVO</t>
  </si>
  <si>
    <t>NOMINAL</t>
  </si>
  <si>
    <t>POR DIA</t>
  </si>
  <si>
    <t>TOTAL</t>
  </si>
  <si>
    <t>APORTES</t>
  </si>
  <si>
    <t>LIQUIDO</t>
  </si>
  <si>
    <t>A PAGAR</t>
  </si>
  <si>
    <t>CAPATAZ</t>
  </si>
  <si>
    <t>DESCUENTOS</t>
  </si>
  <si>
    <t>DESCUENTO</t>
  </si>
  <si>
    <t>ADMINISTRADOR</t>
  </si>
  <si>
    <t>WALTER G.TEXEIRA NUÑEZ</t>
  </si>
  <si>
    <t>Sarandi 72 piso 1-Salto</t>
  </si>
  <si>
    <t xml:space="preserve">Aumento minimos cat.: </t>
  </si>
  <si>
    <t>Aumento Alim. Y Vivienda</t>
  </si>
  <si>
    <t>FONASA</t>
  </si>
  <si>
    <t>GRUPO Nº 22</t>
  </si>
  <si>
    <t>CAPATAZ GENERAL</t>
  </si>
  <si>
    <t>ALTAMENTE ESPECIALIZADO</t>
  </si>
  <si>
    <t>ESPECIALIZADO</t>
  </si>
  <si>
    <t>APORTE AL FONASA: Depende de cada situación</t>
  </si>
  <si>
    <t>SUELDOS MAYORES A $ 4.437,50 ( considerando alim. y viv.) APORTA 4,5% sin hijos menores a cargo</t>
  </si>
  <si>
    <t>SUELDOS MAYORES A $ 4.437,50 ( considerando alim. y viv.) APORTA 6% con hijos menores a cargo</t>
  </si>
  <si>
    <t>(En el cuadro se aplico 6%)</t>
  </si>
  <si>
    <r>
      <t xml:space="preserve">NUEVAS CATEGORIAS </t>
    </r>
    <r>
      <rPr>
        <b/>
        <sz val="8"/>
        <color indexed="10"/>
        <rFont val="Arial"/>
        <family val="2"/>
      </rPr>
      <t>(A PARTIR 01/01/09)</t>
    </r>
  </si>
  <si>
    <t>ADICIONAL</t>
  </si>
  <si>
    <t>CONYUGE</t>
  </si>
  <si>
    <t>NO SE CALC.</t>
  </si>
  <si>
    <t>FONASA 4,5%</t>
  </si>
  <si>
    <t>FONASA 6%</t>
  </si>
  <si>
    <t>Contador Público</t>
  </si>
  <si>
    <t>mail: texeiraw@gmail.com</t>
  </si>
  <si>
    <t>Tel.473  35533</t>
  </si>
  <si>
    <t>El beneficio de FONASA alcanza al conyuge o concubino/a se adiciona 2% de aporte.</t>
  </si>
  <si>
    <t>APRENDIZ  (90 jornales max.)</t>
  </si>
  <si>
    <t>con 4,5%</t>
  </si>
  <si>
    <t>a su situacion familiar (hijos a cargo y conyuge o concubina)</t>
  </si>
  <si>
    <t>ADVERTENCIA: El calculo de los salarios liquidos es un ejemplo, se deberá efectuar para cada persona en base a su</t>
  </si>
  <si>
    <t>POR DIA (Fonasa hijos 6%)</t>
  </si>
  <si>
    <t>POR DIA (Fonasa hijos 6% y cony. 2%)</t>
  </si>
  <si>
    <t>POR DIA (Fonasa sin hijos 4,5%)</t>
  </si>
  <si>
    <t>Los jornales (por dia) surgen de dividir el sueldo mensual entre 25.</t>
  </si>
  <si>
    <t>MENSUAL (con hijos, sin conyuge)</t>
  </si>
  <si>
    <t>con 6%</t>
  </si>
  <si>
    <t>MENSUAL (sin hijos, sin conyuge)</t>
  </si>
  <si>
    <t>SIN ESPECIALIZACION 2 (peon comun y cocinero/a)</t>
  </si>
  <si>
    <t>SIN ESPECIALIZACION 1 (servicio domestico casa patron)</t>
  </si>
  <si>
    <t>TOTAL DTOS BPS TRAB CON HIJOS</t>
  </si>
  <si>
    <t>TOTAL DTOS BPS TRAB SIN HIJOS</t>
  </si>
  <si>
    <t>FONASA %</t>
  </si>
  <si>
    <t>SUELDOS MINIMOS PARA LA GANADERIA Y AGRICULTURA DE SECANO, Nº 22 GRUPO MADRE (NO COMPRENDE TAMBOS Y ARROZ), 48 hs semanales.</t>
  </si>
  <si>
    <t>CORRECCION TASA FRL 01/01/19</t>
  </si>
  <si>
    <t>SUELDOS MENORES A $ 12.910 (2.5 BPC) ( considerando alim. y viv.) APORTA 3% (con o sin hijos menores a cargo)</t>
  </si>
  <si>
    <t>SUELDOS MAYORES A $ 12.910 ( considerando alim. y viv.) APORTA 4,5% sin hijos menores a cargo</t>
  </si>
  <si>
    <t>SUELDOS MAYORES A $ 12.910 ( considerando alim. y viv.) APORTA 6% con hijos menores a cargo</t>
  </si>
  <si>
    <t>ACTA 06/11/23</t>
  </si>
  <si>
    <t>Correctivo final  convenio</t>
  </si>
  <si>
    <t xml:space="preserve">VIGENCIA 01/01/2024. </t>
  </si>
  <si>
    <t>(PROXIMO AUMENTO 01/07/24 1,53% )</t>
  </si>
  <si>
    <t>(el 01/01/24 cambia valor BPC y cambia el tope)</t>
  </si>
  <si>
    <t>BPC VIGENCIA 01/01/23</t>
  </si>
  <si>
    <t>OJO  SIN INFO. 01/01/24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</si>
</sst>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0.0%"/>
    <numFmt numFmtId="187" formatCode="0.000%"/>
    <numFmt numFmtId="188" formatCode="_ * #,##0.0_ ;_ * \-#,##0.0_ ;_ * &quot;-&quot;??_ ;_ @_ "/>
    <numFmt numFmtId="189" formatCode="_ * #,##0_ ;_ * \-#,##0_ ;_ * &quot;-&quot;??_ ;_ @_ "/>
    <numFmt numFmtId="190" formatCode="_ * #.##0.00_ ;_ * \-#.##0.00_ ;_ * &quot;-&quot;??_ ;_ @_ "/>
    <numFmt numFmtId="191" formatCode="0.0000%"/>
    <numFmt numFmtId="192" formatCode="_-* #,##0.0_-;\-* #,##0.0_-;_-* &quot;-&quot;??_-;_-@_-"/>
    <numFmt numFmtId="193" formatCode="_-* #,##0_-;\-* #,##0_-;_-* &quot;-&quot;??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Bookman Old Style"/>
      <family val="1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9" fontId="0" fillId="0" borderId="12" xfId="47" applyFont="1" applyBorder="1" applyAlignment="1">
      <alignment/>
    </xf>
    <xf numFmtId="179" fontId="0" fillId="0" borderId="0" xfId="47" applyFont="1" applyBorder="1" applyAlignment="1">
      <alignment/>
    </xf>
    <xf numFmtId="0" fontId="6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9" fontId="3" fillId="0" borderId="0" xfId="5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33" borderId="17" xfId="0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179" fontId="0" fillId="33" borderId="21" xfId="47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0" xfId="0" applyFont="1" applyAlignment="1">
      <alignment/>
    </xf>
    <xf numFmtId="179" fontId="1" fillId="33" borderId="1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9" fontId="9" fillId="0" borderId="0" xfId="53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0" fontId="1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9" fontId="16" fillId="0" borderId="0" xfId="53" applyFont="1" applyBorder="1" applyAlignment="1">
      <alignment horizontal="center"/>
    </xf>
    <xf numFmtId="0" fontId="17" fillId="0" borderId="0" xfId="0" applyFont="1" applyAlignment="1">
      <alignment/>
    </xf>
    <xf numFmtId="189" fontId="0" fillId="0" borderId="0" xfId="47" applyNumberFormat="1" applyFont="1" applyBorder="1" applyAlignment="1">
      <alignment/>
    </xf>
    <xf numFmtId="189" fontId="1" fillId="33" borderId="21" xfId="47" applyNumberFormat="1" applyFont="1" applyFill="1" applyBorder="1" applyAlignment="1">
      <alignment/>
    </xf>
    <xf numFmtId="189" fontId="0" fillId="0" borderId="12" xfId="47" applyNumberFormat="1" applyFont="1" applyBorder="1" applyAlignment="1">
      <alignment/>
    </xf>
    <xf numFmtId="189" fontId="0" fillId="0" borderId="23" xfId="47" applyNumberFormat="1" applyFont="1" applyBorder="1" applyAlignment="1">
      <alignment/>
    </xf>
    <xf numFmtId="189" fontId="0" fillId="0" borderId="13" xfId="47" applyNumberFormat="1" applyFont="1" applyBorder="1" applyAlignment="1">
      <alignment/>
    </xf>
    <xf numFmtId="189" fontId="1" fillId="33" borderId="18" xfId="0" applyNumberFormat="1" applyFont="1" applyFill="1" applyBorder="1" applyAlignment="1">
      <alignment/>
    </xf>
    <xf numFmtId="179" fontId="0" fillId="0" borderId="12" xfId="47" applyNumberFormat="1" applyFont="1" applyBorder="1" applyAlignment="1">
      <alignment/>
    </xf>
    <xf numFmtId="179" fontId="0" fillId="0" borderId="0" xfId="47" applyNumberFormat="1" applyFont="1" applyBorder="1" applyAlignment="1">
      <alignment/>
    </xf>
    <xf numFmtId="179" fontId="0" fillId="0" borderId="23" xfId="47" applyNumberFormat="1" applyFont="1" applyBorder="1" applyAlignment="1">
      <alignment/>
    </xf>
    <xf numFmtId="179" fontId="0" fillId="0" borderId="13" xfId="47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86" fontId="0" fillId="0" borderId="0" xfId="53" applyNumberFormat="1" applyFont="1" applyAlignment="1">
      <alignment/>
    </xf>
    <xf numFmtId="0" fontId="14" fillId="0" borderId="0" xfId="0" applyFont="1" applyBorder="1" applyAlignment="1">
      <alignment/>
    </xf>
    <xf numFmtId="10" fontId="13" fillId="0" borderId="10" xfId="53" applyNumberFormat="1" applyFont="1" applyBorder="1" applyAlignment="1">
      <alignment/>
    </xf>
    <xf numFmtId="0" fontId="17" fillId="0" borderId="11" xfId="0" applyFont="1" applyBorder="1" applyAlignment="1">
      <alignment/>
    </xf>
    <xf numFmtId="0" fontId="0" fillId="0" borderId="25" xfId="0" applyBorder="1" applyAlignment="1">
      <alignment/>
    </xf>
    <xf numFmtId="0" fontId="17" fillId="0" borderId="0" xfId="0" applyFont="1" applyBorder="1" applyAlignment="1">
      <alignment/>
    </xf>
    <xf numFmtId="0" fontId="9" fillId="0" borderId="26" xfId="0" applyFont="1" applyBorder="1" applyAlignment="1">
      <alignment/>
    </xf>
    <xf numFmtId="10" fontId="0" fillId="0" borderId="0" xfId="53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189" fontId="1" fillId="0" borderId="12" xfId="47" applyNumberFormat="1" applyFont="1" applyBorder="1" applyAlignment="1">
      <alignment/>
    </xf>
    <xf numFmtId="189" fontId="1" fillId="0" borderId="0" xfId="47" applyNumberFormat="1" applyFont="1" applyBorder="1" applyAlignment="1">
      <alignment/>
    </xf>
    <xf numFmtId="10" fontId="52" fillId="0" borderId="0" xfId="53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center"/>
    </xf>
    <xf numFmtId="189" fontId="4" fillId="0" borderId="0" xfId="47" applyNumberFormat="1" applyFont="1" applyBorder="1" applyAlignment="1">
      <alignment/>
    </xf>
    <xf numFmtId="0" fontId="12" fillId="0" borderId="27" xfId="0" applyFont="1" applyBorder="1" applyAlignment="1">
      <alignment/>
    </xf>
    <xf numFmtId="0" fontId="10" fillId="0" borderId="12" xfId="0" applyFont="1" applyBorder="1" applyAlignment="1">
      <alignment/>
    </xf>
    <xf numFmtId="0" fontId="52" fillId="0" borderId="0" xfId="0" applyFont="1" applyBorder="1" applyAlignment="1">
      <alignment/>
    </xf>
    <xf numFmtId="187" fontId="53" fillId="0" borderId="0" xfId="53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187" fontId="2" fillId="0" borderId="13" xfId="53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186" fontId="9" fillId="0" borderId="29" xfId="53" applyNumberFormat="1" applyFont="1" applyBorder="1" applyAlignment="1">
      <alignment horizontal="center"/>
    </xf>
    <xf numFmtId="179" fontId="0" fillId="0" borderId="29" xfId="47" applyFont="1" applyBorder="1" applyAlignment="1">
      <alignment/>
    </xf>
    <xf numFmtId="179" fontId="0" fillId="0" borderId="31" xfId="47" applyFont="1" applyBorder="1" applyAlignment="1">
      <alignment/>
    </xf>
    <xf numFmtId="187" fontId="2" fillId="0" borderId="32" xfId="53" applyNumberFormat="1" applyFont="1" applyBorder="1" applyAlignment="1">
      <alignment/>
    </xf>
    <xf numFmtId="0" fontId="0" fillId="33" borderId="33" xfId="0" applyFill="1" applyBorder="1" applyAlignment="1">
      <alignment/>
    </xf>
    <xf numFmtId="0" fontId="4" fillId="0" borderId="32" xfId="0" applyFont="1" applyBorder="1" applyAlignment="1">
      <alignment/>
    </xf>
    <xf numFmtId="187" fontId="53" fillId="0" borderId="34" xfId="53" applyNumberFormat="1" applyFont="1" applyBorder="1" applyAlignment="1">
      <alignment horizontal="center"/>
    </xf>
    <xf numFmtId="9" fontId="2" fillId="0" borderId="12" xfId="53" applyFont="1" applyBorder="1" applyAlignment="1">
      <alignment horizontal="center"/>
    </xf>
    <xf numFmtId="9" fontId="2" fillId="0" borderId="28" xfId="53" applyFont="1" applyBorder="1" applyAlignment="1">
      <alignment horizontal="center"/>
    </xf>
    <xf numFmtId="0" fontId="53" fillId="0" borderId="0" xfId="0" applyFont="1" applyAlignment="1">
      <alignment/>
    </xf>
    <xf numFmtId="43" fontId="0" fillId="0" borderId="0" xfId="47" applyNumberFormat="1" applyFont="1" applyBorder="1" applyAlignment="1">
      <alignment/>
    </xf>
    <xf numFmtId="193" fontId="0" fillId="0" borderId="12" xfId="47" applyNumberFormat="1" applyFont="1" applyBorder="1" applyAlignment="1">
      <alignment/>
    </xf>
    <xf numFmtId="189" fontId="0" fillId="0" borderId="15" xfId="47" applyNumberFormat="1" applyFont="1" applyBorder="1" applyAlignment="1">
      <alignment/>
    </xf>
    <xf numFmtId="189" fontId="0" fillId="0" borderId="35" xfId="47" applyNumberFormat="1" applyFont="1" applyBorder="1" applyAlignment="1">
      <alignment/>
    </xf>
    <xf numFmtId="189" fontId="1" fillId="33" borderId="22" xfId="47" applyNumberFormat="1" applyFont="1" applyFill="1" applyBorder="1" applyAlignment="1">
      <alignment/>
    </xf>
    <xf numFmtId="189" fontId="0" fillId="0" borderId="14" xfId="47" applyNumberFormat="1" applyFont="1" applyBorder="1" applyAlignment="1">
      <alignment/>
    </xf>
    <xf numFmtId="189" fontId="0" fillId="0" borderId="24" xfId="47" applyNumberFormat="1" applyFont="1" applyBorder="1" applyAlignment="1">
      <alignment/>
    </xf>
    <xf numFmtId="189" fontId="0" fillId="0" borderId="16" xfId="47" applyNumberFormat="1" applyFont="1" applyBorder="1" applyAlignment="1">
      <alignment/>
    </xf>
    <xf numFmtId="189" fontId="55" fillId="33" borderId="19" xfId="0" applyNumberFormat="1" applyFont="1" applyFill="1" applyBorder="1" applyAlignment="1">
      <alignment/>
    </xf>
    <xf numFmtId="189" fontId="52" fillId="0" borderId="15" xfId="47" applyNumberFormat="1" applyFont="1" applyBorder="1" applyAlignment="1">
      <alignment/>
    </xf>
    <xf numFmtId="10" fontId="55" fillId="0" borderId="12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57" fillId="0" borderId="26" xfId="0" applyFont="1" applyBorder="1" applyAlignment="1">
      <alignment/>
    </xf>
    <xf numFmtId="0" fontId="0" fillId="0" borderId="0" xfId="0" applyFill="1" applyBorder="1" applyAlignment="1">
      <alignment/>
    </xf>
    <xf numFmtId="189" fontId="55" fillId="0" borderId="10" xfId="47" applyNumberFormat="1" applyFont="1" applyBorder="1" applyAlignment="1">
      <alignment/>
    </xf>
    <xf numFmtId="0" fontId="52" fillId="0" borderId="11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5" fillId="0" borderId="15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38100</xdr:rowOff>
    </xdr:from>
    <xdr:to>
      <xdr:col>11</xdr:col>
      <xdr:colOff>514350</xdr:colOff>
      <xdr:row>122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29900"/>
          <a:ext cx="9877425" cy="966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123</xdr:row>
      <xdr:rowOff>142875</xdr:rowOff>
    </xdr:from>
    <xdr:to>
      <xdr:col>11</xdr:col>
      <xdr:colOff>123825</xdr:colOff>
      <xdr:row>212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450175"/>
          <a:ext cx="9410700" cy="1430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63</xdr:row>
      <xdr:rowOff>104775</xdr:rowOff>
    </xdr:from>
    <xdr:to>
      <xdr:col>11</xdr:col>
      <xdr:colOff>600075</xdr:colOff>
      <xdr:row>123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696575"/>
          <a:ext cx="9877425" cy="966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40">
      <selection activeCell="I60" sqref="I60"/>
    </sheetView>
  </sheetViews>
  <sheetFormatPr defaultColWidth="11.421875" defaultRowHeight="12.75"/>
  <cols>
    <col min="1" max="1" width="23.00390625" style="0" customWidth="1"/>
    <col min="2" max="2" width="10.8515625" style="0" customWidth="1"/>
    <col min="3" max="3" width="10.57421875" style="0" customWidth="1"/>
    <col min="4" max="4" width="11.28125" style="0" customWidth="1"/>
    <col min="6" max="6" width="13.57421875" style="0" customWidth="1"/>
    <col min="9" max="9" width="14.00390625" style="0" customWidth="1"/>
  </cols>
  <sheetData>
    <row r="1" spans="1:9" ht="12.75">
      <c r="A1" s="1" t="s">
        <v>58</v>
      </c>
      <c r="I1" s="38"/>
    </row>
    <row r="2" spans="1:11" ht="15.75" thickBot="1">
      <c r="A2" s="50" t="s">
        <v>65</v>
      </c>
      <c r="B2" s="104" t="s">
        <v>63</v>
      </c>
      <c r="C2" s="1"/>
      <c r="D2" s="1"/>
      <c r="E2" s="1" t="s">
        <v>21</v>
      </c>
      <c r="F2" s="1"/>
      <c r="G2" s="51">
        <v>0.0463</v>
      </c>
      <c r="H2" s="51"/>
      <c r="I2" s="40" t="s">
        <v>19</v>
      </c>
      <c r="J2" s="23"/>
      <c r="K2" s="23"/>
    </row>
    <row r="3" spans="1:10" ht="13.5" thickBot="1">
      <c r="A3" s="1" t="s">
        <v>24</v>
      </c>
      <c r="B3" s="48"/>
      <c r="E3" s="66" t="s">
        <v>22</v>
      </c>
      <c r="G3" s="51">
        <v>0.0463</v>
      </c>
      <c r="H3" s="55"/>
      <c r="J3" s="39" t="s">
        <v>38</v>
      </c>
    </row>
    <row r="4" spans="1:10" ht="13.5" thickBot="1">
      <c r="A4" s="66" t="s">
        <v>66</v>
      </c>
      <c r="E4" s="74" t="s">
        <v>64</v>
      </c>
      <c r="F4" s="86"/>
      <c r="G4" s="70">
        <v>0</v>
      </c>
      <c r="H4" s="71"/>
      <c r="I4" s="72"/>
      <c r="J4" s="41" t="s">
        <v>20</v>
      </c>
    </row>
    <row r="5" spans="1:10" ht="12.75">
      <c r="A5" s="36" t="s">
        <v>0</v>
      </c>
      <c r="G5" s="87"/>
      <c r="H5" s="73"/>
      <c r="I5" s="11"/>
      <c r="J5" s="41" t="s">
        <v>40</v>
      </c>
    </row>
    <row r="6" spans="1:10" ht="13.5" thickBot="1">
      <c r="A6" s="66"/>
      <c r="G6" s="115"/>
      <c r="H6" s="116"/>
      <c r="I6" s="11"/>
      <c r="J6" s="41" t="s">
        <v>39</v>
      </c>
    </row>
    <row r="7" spans="1:11" ht="16.5" thickBot="1">
      <c r="A7" s="49" t="s">
        <v>32</v>
      </c>
      <c r="D7" s="119"/>
      <c r="E7" s="117"/>
      <c r="F7" s="117"/>
      <c r="G7" s="117"/>
      <c r="H7" s="117"/>
      <c r="I7" s="117"/>
      <c r="J7" s="118"/>
      <c r="K7" s="118"/>
    </row>
    <row r="8" spans="1:9" ht="16.5" thickBot="1">
      <c r="A8" s="49"/>
      <c r="G8" s="77"/>
      <c r="H8" s="90" t="s">
        <v>59</v>
      </c>
      <c r="I8" s="11"/>
    </row>
    <row r="9" spans="2:11" ht="15">
      <c r="B9" s="5"/>
      <c r="C9" s="6"/>
      <c r="D9" s="28"/>
      <c r="E9" s="14" t="s">
        <v>16</v>
      </c>
      <c r="F9" s="6"/>
      <c r="G9" s="53" t="s">
        <v>35</v>
      </c>
      <c r="H9" s="6"/>
      <c r="I9" s="37" t="s">
        <v>17</v>
      </c>
      <c r="J9" s="37" t="s">
        <v>17</v>
      </c>
      <c r="K9" s="24"/>
    </row>
    <row r="10" spans="1:13" ht="12.75">
      <c r="A10" s="1" t="s">
        <v>1</v>
      </c>
      <c r="B10" s="7" t="s">
        <v>8</v>
      </c>
      <c r="C10" s="8" t="s">
        <v>3</v>
      </c>
      <c r="D10" s="29" t="s">
        <v>11</v>
      </c>
      <c r="E10" s="7" t="s">
        <v>4</v>
      </c>
      <c r="F10" s="43" t="s">
        <v>4</v>
      </c>
      <c r="G10" s="52" t="s">
        <v>33</v>
      </c>
      <c r="H10" s="52" t="s">
        <v>6</v>
      </c>
      <c r="I10" s="33" t="s">
        <v>11</v>
      </c>
      <c r="J10" s="15" t="s">
        <v>3</v>
      </c>
      <c r="K10" s="25" t="s">
        <v>13</v>
      </c>
      <c r="M10" s="82"/>
    </row>
    <row r="11" spans="1:13" ht="13.5" thickBot="1">
      <c r="A11" s="19"/>
      <c r="B11" s="20" t="s">
        <v>9</v>
      </c>
      <c r="C11" s="21" t="s">
        <v>9</v>
      </c>
      <c r="D11" s="30" t="s">
        <v>9</v>
      </c>
      <c r="E11" s="20" t="s">
        <v>5</v>
      </c>
      <c r="F11" s="44" t="s">
        <v>23</v>
      </c>
      <c r="G11" s="21" t="s">
        <v>34</v>
      </c>
      <c r="H11" s="21" t="s">
        <v>7</v>
      </c>
      <c r="I11" s="34" t="s">
        <v>12</v>
      </c>
      <c r="J11" s="22" t="s">
        <v>13</v>
      </c>
      <c r="K11" s="26" t="s">
        <v>14</v>
      </c>
      <c r="M11" s="67"/>
    </row>
    <row r="12" spans="1:13" ht="12.75">
      <c r="A12" s="41" t="s">
        <v>55</v>
      </c>
      <c r="B12" s="9"/>
      <c r="C12" s="10"/>
      <c r="D12" s="31"/>
      <c r="E12" s="102">
        <v>0.15</v>
      </c>
      <c r="F12" s="45">
        <v>0.06</v>
      </c>
      <c r="G12" s="16">
        <v>0</v>
      </c>
      <c r="H12" s="89">
        <v>0.001</v>
      </c>
      <c r="I12" s="35"/>
      <c r="J12" s="91">
        <f>+E12+F12+G12+H12</f>
        <v>0.211</v>
      </c>
      <c r="K12" s="27"/>
      <c r="M12" s="67"/>
    </row>
    <row r="13" spans="1:13" ht="12.75">
      <c r="A13" s="2"/>
      <c r="B13" s="9"/>
      <c r="C13" s="10"/>
      <c r="D13" s="31"/>
      <c r="E13" s="17"/>
      <c r="F13" s="45">
        <v>0.03</v>
      </c>
      <c r="G13" s="54">
        <v>0.02</v>
      </c>
      <c r="H13" s="18"/>
      <c r="I13" s="35"/>
      <c r="J13" s="91">
        <f>+E12+F13+G13+H12</f>
        <v>0.20099999999999998</v>
      </c>
      <c r="K13" s="27"/>
      <c r="M13" s="76"/>
    </row>
    <row r="14" spans="1:11" ht="12.75">
      <c r="A14" s="100" t="s">
        <v>56</v>
      </c>
      <c r="B14" s="92"/>
      <c r="C14" s="93"/>
      <c r="D14" s="94"/>
      <c r="E14" s="103">
        <v>0.15</v>
      </c>
      <c r="F14" s="95">
        <v>0.045</v>
      </c>
      <c r="G14" s="96"/>
      <c r="H14" s="101">
        <v>0.001</v>
      </c>
      <c r="I14" s="97"/>
      <c r="J14" s="98">
        <f>+E12+F14+H12</f>
        <v>0.196</v>
      </c>
      <c r="K14" s="99"/>
    </row>
    <row r="15" spans="1:11" ht="12.75">
      <c r="A15" s="4" t="s">
        <v>18</v>
      </c>
      <c r="B15" s="12"/>
      <c r="C15" s="13"/>
      <c r="D15" s="32"/>
      <c r="E15" s="12"/>
      <c r="F15" s="83" t="s">
        <v>37</v>
      </c>
      <c r="I15" s="35"/>
      <c r="K15" s="27"/>
    </row>
    <row r="16" spans="1:13" ht="12.75">
      <c r="A16" s="3" t="s">
        <v>2</v>
      </c>
      <c r="B16" s="79">
        <f>35571*1.035*1.0088*1.0294*1.0463</f>
        <v>40002.016733134195</v>
      </c>
      <c r="C16" s="80">
        <f>4919*1.035*1.0088*1.0294*1.0463</f>
        <v>5531.751154319168</v>
      </c>
      <c r="D16" s="57">
        <f>+B16+C16</f>
        <v>45533.76788745336</v>
      </c>
      <c r="E16" s="58">
        <f>+$E$12*D16</f>
        <v>6830.065183118004</v>
      </c>
      <c r="F16" s="56">
        <f>+$F$12*D16</f>
        <v>2732.0260732472016</v>
      </c>
      <c r="G16" s="56">
        <f>+$G$12*D16</f>
        <v>0</v>
      </c>
      <c r="H16" s="56">
        <f>+$H$12*D16</f>
        <v>45.53376788745336</v>
      </c>
      <c r="I16" s="59">
        <f>SUM(E16:H16)</f>
        <v>9607.625024252658</v>
      </c>
      <c r="J16" s="60">
        <f>+C16*(1-J12)</f>
        <v>4364.551660757824</v>
      </c>
      <c r="K16" s="61">
        <f>+D16-I16-J16</f>
        <v>31561.591202442876</v>
      </c>
      <c r="M16" s="75"/>
    </row>
    <row r="17" spans="1:13" ht="12.75">
      <c r="A17" s="3" t="s">
        <v>10</v>
      </c>
      <c r="B17" s="58">
        <f>+B16/25-0.04</f>
        <v>1600.0406693253678</v>
      </c>
      <c r="C17" s="56">
        <f>+C16/25</f>
        <v>221.2700461727667</v>
      </c>
      <c r="D17" s="57">
        <f>+B17+C17</f>
        <v>1821.3107154981346</v>
      </c>
      <c r="E17" s="58">
        <f>+$E$12*D17</f>
        <v>273.19660732472016</v>
      </c>
      <c r="F17" s="56">
        <f>+$F$12*D17</f>
        <v>109.27864292988808</v>
      </c>
      <c r="G17" s="56">
        <v>0</v>
      </c>
      <c r="H17" s="56">
        <f>+$H$12*D17</f>
        <v>1.8213107154981347</v>
      </c>
      <c r="I17" s="59">
        <f>SUM(E17:H17)</f>
        <v>384.2965609701064</v>
      </c>
      <c r="J17" s="60">
        <f>+C17*(1-J12)</f>
        <v>174.58206643031295</v>
      </c>
      <c r="K17" s="61">
        <f>+D17-I17-J17</f>
        <v>1262.4320880977152</v>
      </c>
      <c r="M17" s="75"/>
    </row>
    <row r="18" spans="1:13" ht="12.75">
      <c r="A18" s="2"/>
      <c r="B18" s="58"/>
      <c r="C18" s="56"/>
      <c r="D18" s="57"/>
      <c r="E18" s="58"/>
      <c r="F18" s="56"/>
      <c r="G18" s="56"/>
      <c r="H18" s="56"/>
      <c r="I18" s="59"/>
      <c r="J18" s="60"/>
      <c r="K18" s="61"/>
      <c r="M18" s="75"/>
    </row>
    <row r="19" spans="1:13" ht="12.75">
      <c r="A19" s="4" t="s">
        <v>25</v>
      </c>
      <c r="B19" s="58"/>
      <c r="C19" s="56"/>
      <c r="D19" s="57"/>
      <c r="E19" s="58"/>
      <c r="F19" s="84" t="s">
        <v>37</v>
      </c>
      <c r="G19" s="56"/>
      <c r="H19" s="56"/>
      <c r="I19" s="59"/>
      <c r="J19" s="60"/>
      <c r="K19" s="61"/>
      <c r="M19" s="75"/>
    </row>
    <row r="20" spans="1:14" ht="12.75">
      <c r="A20" s="3" t="s">
        <v>2</v>
      </c>
      <c r="B20" s="79">
        <f>34641*1.035*1.0088*1.0294*1.0463</f>
        <v>38956.16827338286</v>
      </c>
      <c r="C20" s="56">
        <f>+$C$16</f>
        <v>5531.751154319168</v>
      </c>
      <c r="D20" s="57">
        <f>+B20+C20</f>
        <v>44487.91942770202</v>
      </c>
      <c r="E20" s="58">
        <f>+$E$12*D20</f>
        <v>6673.187914155303</v>
      </c>
      <c r="F20" s="56">
        <f>+$F$12*D20</f>
        <v>2669.2751656621213</v>
      </c>
      <c r="G20" s="56">
        <f>+$G$12*D20</f>
        <v>0</v>
      </c>
      <c r="H20" s="56">
        <f>+$H$12*D20</f>
        <v>44.487919427702025</v>
      </c>
      <c r="I20" s="59">
        <f>SUM(E20:H20)</f>
        <v>9386.950999245126</v>
      </c>
      <c r="J20" s="60">
        <f>+C20*(1-$J$12)</f>
        <v>4364.551660757824</v>
      </c>
      <c r="K20" s="61">
        <f>+D20-I20-J20</f>
        <v>30736.41676769907</v>
      </c>
      <c r="M20" s="81"/>
      <c r="N20" s="78"/>
    </row>
    <row r="21" spans="1:13" ht="12.75">
      <c r="A21" s="3" t="s">
        <v>10</v>
      </c>
      <c r="B21" s="58">
        <f>+B20/25</f>
        <v>1558.2467309353142</v>
      </c>
      <c r="C21" s="56">
        <f>+$C$17</f>
        <v>221.2700461727667</v>
      </c>
      <c r="D21" s="57">
        <f>+B21+C21</f>
        <v>1779.516777108081</v>
      </c>
      <c r="E21" s="58">
        <f>+$E$12*D21</f>
        <v>266.92751656621215</v>
      </c>
      <c r="F21" s="56">
        <f>+$F$12*D21</f>
        <v>106.77100662648486</v>
      </c>
      <c r="G21" s="56">
        <v>0</v>
      </c>
      <c r="H21" s="56">
        <f>+$H$12*D21</f>
        <v>1.779516777108081</v>
      </c>
      <c r="I21" s="59">
        <f>SUM(E21:H21)</f>
        <v>375.4780399698051</v>
      </c>
      <c r="J21" s="60">
        <f>+C21*(1-$J$12)</f>
        <v>174.58206643031295</v>
      </c>
      <c r="K21" s="61">
        <f>+D21-I21-J21</f>
        <v>1229.4566707079628</v>
      </c>
      <c r="M21" s="75"/>
    </row>
    <row r="22" spans="1:13" ht="12.75">
      <c r="A22" s="2"/>
      <c r="B22" s="58"/>
      <c r="C22" s="56"/>
      <c r="D22" s="57"/>
      <c r="E22" s="58"/>
      <c r="F22" s="56"/>
      <c r="G22" s="56"/>
      <c r="H22" s="56"/>
      <c r="I22" s="59"/>
      <c r="J22" s="60"/>
      <c r="K22" s="61"/>
      <c r="M22" s="75"/>
    </row>
    <row r="23" spans="1:13" ht="12.75">
      <c r="A23" s="4" t="s">
        <v>15</v>
      </c>
      <c r="B23" s="58"/>
      <c r="C23" s="56"/>
      <c r="D23" s="57"/>
      <c r="E23" s="58"/>
      <c r="F23" s="84" t="s">
        <v>37</v>
      </c>
      <c r="G23" s="56"/>
      <c r="H23" s="56"/>
      <c r="I23" s="59"/>
      <c r="J23" s="60"/>
      <c r="K23" s="61"/>
      <c r="M23" s="75"/>
    </row>
    <row r="24" spans="1:13" ht="12.75">
      <c r="A24" s="3" t="s">
        <v>2</v>
      </c>
      <c r="B24" s="79">
        <f>32981*1.035*1.0088*1.0294*1.0463+1</f>
        <v>37090.385001138544</v>
      </c>
      <c r="C24" s="56">
        <f>+$C$16</f>
        <v>5531.751154319168</v>
      </c>
      <c r="D24" s="57">
        <f>+B24+C24</f>
        <v>42622.13615545771</v>
      </c>
      <c r="E24" s="58">
        <f>+$E$12*D24</f>
        <v>6393.320423318656</v>
      </c>
      <c r="F24" s="56">
        <f>+$F$12*D24</f>
        <v>2557.3281693274625</v>
      </c>
      <c r="G24" s="56">
        <f>+$G$12*D24</f>
        <v>0</v>
      </c>
      <c r="H24" s="56">
        <f>+$H$12*D24</f>
        <v>42.62213615545771</v>
      </c>
      <c r="I24" s="59">
        <f>SUM(E24:H24)</f>
        <v>8993.270728801577</v>
      </c>
      <c r="J24" s="60">
        <f>+C24*(1-$J$12)</f>
        <v>4364.551660757824</v>
      </c>
      <c r="K24" s="61">
        <f>+D24-I24-J24</f>
        <v>29264.31376589831</v>
      </c>
      <c r="M24" s="75"/>
    </row>
    <row r="25" spans="1:13" ht="12.75">
      <c r="A25" s="3" t="s">
        <v>46</v>
      </c>
      <c r="B25" s="58">
        <f>+B24/25</f>
        <v>1483.6154000455417</v>
      </c>
      <c r="C25" s="56">
        <f>+$C$17</f>
        <v>221.2700461727667</v>
      </c>
      <c r="D25" s="57">
        <f>+B25+C25</f>
        <v>1704.8854462183085</v>
      </c>
      <c r="E25" s="58">
        <f>+$E$12*D25</f>
        <v>255.73281693274626</v>
      </c>
      <c r="F25" s="56">
        <f>+$F$12*D25</f>
        <v>102.2931267730985</v>
      </c>
      <c r="G25" s="56">
        <v>0</v>
      </c>
      <c r="H25" s="56">
        <f>+$H$12*D25</f>
        <v>1.7048854462183085</v>
      </c>
      <c r="I25" s="59">
        <f>SUM(E25:H25)</f>
        <v>359.7308291520631</v>
      </c>
      <c r="J25" s="60">
        <f>+C25*(1-$J$12)</f>
        <v>174.58206643031295</v>
      </c>
      <c r="K25" s="61">
        <f>+D25-I25-J25</f>
        <v>1170.5725506359324</v>
      </c>
      <c r="M25" s="75"/>
    </row>
    <row r="26" spans="1:13" ht="12.75">
      <c r="A26" s="3" t="s">
        <v>47</v>
      </c>
      <c r="B26" s="58"/>
      <c r="C26" s="56"/>
      <c r="D26" s="57"/>
      <c r="E26" s="58"/>
      <c r="F26" s="56">
        <f>+$F$12*D25</f>
        <v>102.2931267730985</v>
      </c>
      <c r="G26" s="56">
        <f>+D25*$G$13</f>
        <v>34.097708924366174</v>
      </c>
      <c r="H26" s="56">
        <f>+$H$12*D25</f>
        <v>1.7048854462183085</v>
      </c>
      <c r="I26" s="59">
        <f>+E25+F26+G26</f>
        <v>392.1236526302109</v>
      </c>
      <c r="J26" s="60">
        <f>+C25*(1-($J$12+$G$13))</f>
        <v>170.1566655068576</v>
      </c>
      <c r="K26" s="61">
        <f>+D25-I26-J26</f>
        <v>1142.60512808124</v>
      </c>
      <c r="M26" s="75"/>
    </row>
    <row r="27" spans="1:13" ht="12.75">
      <c r="A27" s="3"/>
      <c r="B27" s="58"/>
      <c r="C27" s="56"/>
      <c r="D27" s="57"/>
      <c r="E27" s="58"/>
      <c r="F27" s="56"/>
      <c r="G27" s="56"/>
      <c r="H27" s="56"/>
      <c r="I27" s="59"/>
      <c r="J27" s="60"/>
      <c r="K27" s="61"/>
      <c r="M27" s="75"/>
    </row>
    <row r="28" spans="1:13" ht="12.75">
      <c r="A28" s="4" t="s">
        <v>26</v>
      </c>
      <c r="B28" s="58"/>
      <c r="C28" s="56"/>
      <c r="D28" s="57"/>
      <c r="E28" s="58"/>
      <c r="F28" s="84" t="s">
        <v>37</v>
      </c>
      <c r="G28" s="56"/>
      <c r="H28" s="56"/>
      <c r="I28" s="59"/>
      <c r="J28" s="60"/>
      <c r="K28" s="61"/>
      <c r="M28" s="75"/>
    </row>
    <row r="29" spans="1:13" ht="12.75">
      <c r="A29" s="3" t="s">
        <v>50</v>
      </c>
      <c r="B29" s="79">
        <f>31432*1.035*1.0088*1.0294*1.0463</f>
        <v>35347.4288031226</v>
      </c>
      <c r="C29" s="56">
        <f>+$C$16</f>
        <v>5531.751154319168</v>
      </c>
      <c r="D29" s="57">
        <f>+B29+C29</f>
        <v>40879.17995744177</v>
      </c>
      <c r="E29" s="58">
        <f>+$E$12*D29</f>
        <v>6131.876993616265</v>
      </c>
      <c r="F29" s="56">
        <f>+$F$12*D29</f>
        <v>2452.750797446506</v>
      </c>
      <c r="G29" s="56">
        <f>+$G$12*D29</f>
        <v>0</v>
      </c>
      <c r="H29" s="56">
        <f>+$H$12*D29</f>
        <v>40.87917995744177</v>
      </c>
      <c r="I29" s="59">
        <f>SUM(E29:H29)</f>
        <v>8625.506971020213</v>
      </c>
      <c r="J29" s="60">
        <f>+C29*(1-$J$12)</f>
        <v>4364.551660757824</v>
      </c>
      <c r="K29" s="61">
        <f>+D29-I29-J29</f>
        <v>27889.121325663727</v>
      </c>
      <c r="M29" s="75"/>
    </row>
    <row r="30" spans="1:13" ht="12.75">
      <c r="A30" s="3" t="s">
        <v>46</v>
      </c>
      <c r="B30" s="58">
        <f>+B29/25</f>
        <v>1413.897152124904</v>
      </c>
      <c r="C30" s="56">
        <f>+$C$17</f>
        <v>221.2700461727667</v>
      </c>
      <c r="D30" s="57">
        <f>+B30+C30</f>
        <v>1635.167198297671</v>
      </c>
      <c r="E30" s="58">
        <f>+$E$12*D30</f>
        <v>245.2750797446506</v>
      </c>
      <c r="F30" s="56">
        <f>+$F$12*D30</f>
        <v>98.11003189786025</v>
      </c>
      <c r="G30" s="56">
        <v>0</v>
      </c>
      <c r="H30" s="56">
        <f>+$H$12*D30</f>
        <v>1.635167198297671</v>
      </c>
      <c r="I30" s="59">
        <f>SUM(E30:H30)</f>
        <v>345.02027884080854</v>
      </c>
      <c r="J30" s="60">
        <f>+C30*(1-$J$12)</f>
        <v>174.58206643031295</v>
      </c>
      <c r="K30" s="61">
        <f>+D30-I30-J30</f>
        <v>1115.5648530265494</v>
      </c>
      <c r="M30" s="75"/>
    </row>
    <row r="31" spans="1:13" ht="12.75">
      <c r="A31" s="3" t="s">
        <v>48</v>
      </c>
      <c r="B31" s="58"/>
      <c r="C31" s="56"/>
      <c r="D31" s="57"/>
      <c r="E31" s="58"/>
      <c r="F31" s="56">
        <f>+D30*0.045</f>
        <v>73.58252392339519</v>
      </c>
      <c r="G31" s="80" t="s">
        <v>43</v>
      </c>
      <c r="H31" s="56">
        <f>+$H$12*D30</f>
        <v>1.635167198297671</v>
      </c>
      <c r="I31" s="59">
        <f>+E30+F31+H30</f>
        <v>320.49277086634345</v>
      </c>
      <c r="J31" s="60">
        <f>+C30*(1-$J$14)</f>
        <v>177.90111712290445</v>
      </c>
      <c r="K31" s="61">
        <f>+D30-I31-J31</f>
        <v>1136.7733103084229</v>
      </c>
      <c r="M31" s="75"/>
    </row>
    <row r="32" spans="1:13" ht="12.75">
      <c r="A32" s="3"/>
      <c r="B32" s="58"/>
      <c r="C32" s="56"/>
      <c r="D32" s="57"/>
      <c r="E32" s="58"/>
      <c r="F32" s="63"/>
      <c r="G32" s="80"/>
      <c r="H32" s="56"/>
      <c r="I32" s="64"/>
      <c r="J32" s="65"/>
      <c r="K32" s="42"/>
      <c r="M32" s="75"/>
    </row>
    <row r="33" spans="1:13" ht="12.75">
      <c r="A33" s="4" t="s">
        <v>27</v>
      </c>
      <c r="B33" s="58"/>
      <c r="C33" s="56"/>
      <c r="D33" s="57"/>
      <c r="E33" s="58"/>
      <c r="G33" s="84" t="s">
        <v>57</v>
      </c>
      <c r="H33" s="56"/>
      <c r="I33" s="59"/>
      <c r="J33" s="60"/>
      <c r="K33" s="61"/>
      <c r="M33" s="75"/>
    </row>
    <row r="34" spans="1:13" ht="12.75">
      <c r="A34" s="3" t="s">
        <v>50</v>
      </c>
      <c r="B34" s="79">
        <f>29980*1.035*1.0088*1.0294*1.0463-1</f>
        <v>33713.55572402696</v>
      </c>
      <c r="C34" s="56">
        <f>+$C$16</f>
        <v>5531.751154319168</v>
      </c>
      <c r="D34" s="57">
        <f>+B34+C34</f>
        <v>39245.30687834613</v>
      </c>
      <c r="E34" s="58">
        <f>+$E$12*D34</f>
        <v>5886.796031751919</v>
      </c>
      <c r="F34" s="56">
        <f>+$F$12*D34</f>
        <v>2354.7184127007677</v>
      </c>
      <c r="G34" s="80" t="s">
        <v>51</v>
      </c>
      <c r="H34" s="56">
        <f>+$H$12*D34</f>
        <v>39.24530687834613</v>
      </c>
      <c r="I34" s="59">
        <f>SUM(E34:H34)</f>
        <v>8280.759751331032</v>
      </c>
      <c r="J34" s="60">
        <f>+C34*(1-$J$12)</f>
        <v>4364.551660757824</v>
      </c>
      <c r="K34" s="61">
        <f>+D34-I34-J34</f>
        <v>26599.99546625727</v>
      </c>
      <c r="M34" s="75"/>
    </row>
    <row r="35" spans="1:13" ht="12.75">
      <c r="A35" s="3" t="s">
        <v>46</v>
      </c>
      <c r="B35" s="58">
        <f>+B34/25</f>
        <v>1348.5422289610785</v>
      </c>
      <c r="C35" s="56">
        <f>+$C$17</f>
        <v>221.2700461727667</v>
      </c>
      <c r="D35" s="57">
        <f>+B35+C35</f>
        <v>1569.8122751338453</v>
      </c>
      <c r="E35" s="58">
        <f>+$E$12*D35</f>
        <v>235.4718412700768</v>
      </c>
      <c r="F35" s="56">
        <f>+$F$12*D35</f>
        <v>94.18873650803071</v>
      </c>
      <c r="G35" s="80" t="s">
        <v>51</v>
      </c>
      <c r="H35" s="56">
        <f>+$H$12*D35</f>
        <v>1.5698122751338455</v>
      </c>
      <c r="I35" s="59">
        <f>SUM(E35:H35)</f>
        <v>331.23039005324136</v>
      </c>
      <c r="J35" s="60">
        <f>+C35*(1-$J$12)</f>
        <v>174.58206643031295</v>
      </c>
      <c r="K35" s="61">
        <f>+D35-I35-J35</f>
        <v>1063.999818650291</v>
      </c>
      <c r="M35" s="75"/>
    </row>
    <row r="36" spans="1:13" ht="12.75">
      <c r="A36" s="3" t="s">
        <v>48</v>
      </c>
      <c r="B36" s="58"/>
      <c r="C36" s="56"/>
      <c r="D36" s="57"/>
      <c r="E36" s="106">
        <f>+$E$12*D35</f>
        <v>235.4718412700768</v>
      </c>
      <c r="F36" s="56">
        <f>+D35*0.045</f>
        <v>70.64155238102303</v>
      </c>
      <c r="G36" s="80" t="s">
        <v>43</v>
      </c>
      <c r="H36" s="56">
        <f>+$H$12*D35</f>
        <v>1.5698122751338455</v>
      </c>
      <c r="I36" s="59">
        <f>+E35+F36+H35</f>
        <v>307.6832059262337</v>
      </c>
      <c r="J36" s="60">
        <f>+C35*(1-$J$14)</f>
        <v>177.90111712290445</v>
      </c>
      <c r="K36" s="61">
        <f>+D35-I36-J36</f>
        <v>1084.227952084707</v>
      </c>
      <c r="M36" s="75"/>
    </row>
    <row r="37" spans="1:13" ht="12.75">
      <c r="A37" s="3" t="s">
        <v>47</v>
      </c>
      <c r="B37" s="58"/>
      <c r="C37" s="56"/>
      <c r="D37" s="57"/>
      <c r="E37" s="106">
        <f>+$E$12*D35</f>
        <v>235.4718412700768</v>
      </c>
      <c r="F37" s="56">
        <f>+$F$12*D35</f>
        <v>94.18873650803071</v>
      </c>
      <c r="G37" s="56">
        <f>+D35*$G$13</f>
        <v>31.39624550267691</v>
      </c>
      <c r="H37" s="56">
        <f>+$H$12*D35</f>
        <v>1.5698122751338455</v>
      </c>
      <c r="I37" s="59">
        <f>+E35+F37+H36</f>
        <v>331.23039005324136</v>
      </c>
      <c r="J37" s="60">
        <f>+C35*(1-$J$14)</f>
        <v>177.90111712290445</v>
      </c>
      <c r="K37" s="61">
        <f>+D35-I37-J37</f>
        <v>1060.6807679576996</v>
      </c>
      <c r="M37" s="75"/>
    </row>
    <row r="38" spans="1:13" ht="12.75">
      <c r="A38" s="3"/>
      <c r="B38" s="58"/>
      <c r="C38" s="56"/>
      <c r="D38" s="57"/>
      <c r="E38" s="58"/>
      <c r="F38" s="63"/>
      <c r="G38" s="80"/>
      <c r="H38" s="56"/>
      <c r="I38" s="64"/>
      <c r="J38" s="65"/>
      <c r="K38" s="42"/>
      <c r="M38" s="75"/>
    </row>
    <row r="39" spans="1:13" ht="12.75">
      <c r="A39" s="4" t="s">
        <v>53</v>
      </c>
      <c r="B39" s="58"/>
      <c r="C39" s="56"/>
      <c r="D39" s="57"/>
      <c r="E39" s="58"/>
      <c r="F39" s="84"/>
      <c r="G39" s="84" t="s">
        <v>57</v>
      </c>
      <c r="H39" s="56"/>
      <c r="I39" s="59"/>
      <c r="J39" s="60"/>
      <c r="K39" s="61"/>
      <c r="M39" s="75"/>
    </row>
    <row r="40" spans="1:13" ht="12.75">
      <c r="A40" s="3" t="s">
        <v>50</v>
      </c>
      <c r="B40" s="79">
        <f>29193*1.035*1.0088*1.0294*1.0463-1</f>
        <v>32828.52052206535</v>
      </c>
      <c r="C40" s="56">
        <f>+$C$16</f>
        <v>5531.751154319168</v>
      </c>
      <c r="D40" s="57">
        <f>+B40+C40</f>
        <v>38360.27167638452</v>
      </c>
      <c r="E40" s="58">
        <f>+$E$12*D40</f>
        <v>5754.040751457677</v>
      </c>
      <c r="F40" s="56">
        <f>+$F$12*D40</f>
        <v>2301.616300583071</v>
      </c>
      <c r="G40" s="80" t="s">
        <v>51</v>
      </c>
      <c r="H40" s="56">
        <f>+$H$12*D40</f>
        <v>38.360271676384514</v>
      </c>
      <c r="I40" s="59">
        <f>SUM(E40:H40)</f>
        <v>8094.017323717132</v>
      </c>
      <c r="J40" s="60">
        <f>+C40*(1-$J$12)</f>
        <v>4364.551660757824</v>
      </c>
      <c r="K40" s="61">
        <f>+D40-I40-J40</f>
        <v>25901.70269190956</v>
      </c>
      <c r="M40" s="75"/>
    </row>
    <row r="41" spans="1:13" ht="12.75">
      <c r="A41" s="3" t="s">
        <v>46</v>
      </c>
      <c r="B41" s="58">
        <f>(+B40/25)</f>
        <v>1313.140820882614</v>
      </c>
      <c r="C41" s="56">
        <f>+$C$17</f>
        <v>221.2700461727667</v>
      </c>
      <c r="D41" s="57">
        <f>+B41+C41</f>
        <v>1534.4108670553808</v>
      </c>
      <c r="E41" s="58">
        <f>+$E$12*D41</f>
        <v>230.1616300583071</v>
      </c>
      <c r="F41" s="56">
        <f>+$F$12*D41</f>
        <v>92.06465202332285</v>
      </c>
      <c r="G41" s="80" t="s">
        <v>51</v>
      </c>
      <c r="H41" s="56">
        <f>+$H$12*D41</f>
        <v>1.5344108670553809</v>
      </c>
      <c r="I41" s="59">
        <f>SUM(E41:H41)</f>
        <v>323.76069294868535</v>
      </c>
      <c r="J41" s="60">
        <f>+C41*(1-$J$12)</f>
        <v>174.58206643031295</v>
      </c>
      <c r="K41" s="61">
        <f>+D41-I41-J41</f>
        <v>1036.0681076763824</v>
      </c>
      <c r="M41" s="75"/>
    </row>
    <row r="42" spans="1:13" ht="12.75">
      <c r="A42" s="3" t="s">
        <v>48</v>
      </c>
      <c r="B42" s="58"/>
      <c r="C42" s="56"/>
      <c r="D42" s="57"/>
      <c r="E42" s="106">
        <f>+$E$12*D41</f>
        <v>230.1616300583071</v>
      </c>
      <c r="F42" s="56">
        <f>+D41*0.045</f>
        <v>69.04848901749213</v>
      </c>
      <c r="G42" s="80" t="s">
        <v>43</v>
      </c>
      <c r="H42" s="56">
        <f>+$H$12*D41</f>
        <v>1.5344108670553809</v>
      </c>
      <c r="I42" s="59">
        <f>+E41+F42+H41</f>
        <v>300.7445299428546</v>
      </c>
      <c r="J42" s="60">
        <f>+C41*(1-$J$14)</f>
        <v>177.90111712290445</v>
      </c>
      <c r="K42" s="61">
        <f>+D41-I42-J42</f>
        <v>1055.7652199896218</v>
      </c>
      <c r="M42" s="75"/>
    </row>
    <row r="43" spans="1:13" ht="12.75">
      <c r="A43" s="3" t="s">
        <v>47</v>
      </c>
      <c r="B43" s="58"/>
      <c r="C43" s="56"/>
      <c r="D43" s="57"/>
      <c r="E43" s="106">
        <f>+$E$12*D41</f>
        <v>230.1616300583071</v>
      </c>
      <c r="F43" s="105">
        <f>+$F$12*D41</f>
        <v>92.06465202332285</v>
      </c>
      <c r="G43" s="56">
        <f>+D41*$G$13</f>
        <v>30.688217341107617</v>
      </c>
      <c r="H43" s="56">
        <f>+$H$12*D41</f>
        <v>1.5344108670553809</v>
      </c>
      <c r="I43" s="59">
        <f>+E41+F43+G43</f>
        <v>352.91449942273755</v>
      </c>
      <c r="J43" s="60">
        <f>+C41*(1-($J$12+$G$13))</f>
        <v>170.1566655068576</v>
      </c>
      <c r="K43" s="61">
        <f>+D41-I43-J43</f>
        <v>1011.3397021257857</v>
      </c>
      <c r="M43" s="75"/>
    </row>
    <row r="44" spans="1:13" ht="12.75">
      <c r="A44" s="3"/>
      <c r="B44" s="58"/>
      <c r="C44" s="56"/>
      <c r="D44" s="57"/>
      <c r="E44" s="62"/>
      <c r="F44" s="63"/>
      <c r="G44" s="63"/>
      <c r="H44" s="63"/>
      <c r="I44" s="64"/>
      <c r="J44" s="65"/>
      <c r="K44" s="42"/>
      <c r="M44" s="75"/>
    </row>
    <row r="45" spans="1:13" ht="12.75">
      <c r="A45" s="4" t="s">
        <v>42</v>
      </c>
      <c r="B45" s="58"/>
      <c r="C45" s="56"/>
      <c r="D45" s="57"/>
      <c r="E45" s="58"/>
      <c r="F45" s="85" t="s">
        <v>36</v>
      </c>
      <c r="G45" s="56"/>
      <c r="H45" s="56"/>
      <c r="I45" s="59"/>
      <c r="J45" s="60"/>
      <c r="K45" s="61"/>
      <c r="M45" s="75"/>
    </row>
    <row r="46" spans="1:13" ht="12.75">
      <c r="A46" s="3" t="s">
        <v>52</v>
      </c>
      <c r="B46" s="79">
        <f>26694*1.035*1.0088*1.0294*1.0463+1</f>
        <v>30020.22449957224</v>
      </c>
      <c r="C46" s="56">
        <f>+$C$16</f>
        <v>5531.751154319168</v>
      </c>
      <c r="D46" s="57">
        <f>+B46+C46</f>
        <v>35551.97565389141</v>
      </c>
      <c r="E46" s="58">
        <f>+$E$12*D46</f>
        <v>5332.796348083711</v>
      </c>
      <c r="F46" s="56">
        <f>+$F$14*D46</f>
        <v>1599.8389044251132</v>
      </c>
      <c r="G46" s="56">
        <v>0</v>
      </c>
      <c r="H46" s="56">
        <f>+$H$12*D46</f>
        <v>35.55197565389141</v>
      </c>
      <c r="I46" s="59">
        <f>SUM(E46:H46)</f>
        <v>6968.187228162716</v>
      </c>
      <c r="J46" s="60">
        <f>+C46*(1-$J$14)</f>
        <v>4447.527928072611</v>
      </c>
      <c r="K46" s="61">
        <f>+D46-I46-J46</f>
        <v>24136.260497656083</v>
      </c>
      <c r="M46" s="75"/>
    </row>
    <row r="47" spans="1:13" ht="12.75">
      <c r="A47" s="3" t="s">
        <v>48</v>
      </c>
      <c r="B47" s="58">
        <f>+B46/25</f>
        <v>1200.8089799828895</v>
      </c>
      <c r="C47" s="56">
        <f>+$C$17</f>
        <v>221.2700461727667</v>
      </c>
      <c r="D47" s="57">
        <f>+B47+C47</f>
        <v>1422.0790261556563</v>
      </c>
      <c r="E47" s="58">
        <f>+$E$12*D47</f>
        <v>213.31185392334842</v>
      </c>
      <c r="F47" s="56">
        <f>+$F$14*D47</f>
        <v>63.99355617700453</v>
      </c>
      <c r="G47" s="56">
        <v>0</v>
      </c>
      <c r="H47" s="56">
        <f>+$H$12*D47</f>
        <v>1.4220790261556564</v>
      </c>
      <c r="I47" s="59">
        <f>SUM(E47:H47)</f>
        <v>278.7274891265086</v>
      </c>
      <c r="J47" s="60">
        <f>+C47*(1-$J$14)</f>
        <v>177.90111712290445</v>
      </c>
      <c r="K47" s="61">
        <f>+D47-I47-J47</f>
        <v>965.4504199062433</v>
      </c>
      <c r="M47" s="75"/>
    </row>
    <row r="48" spans="2:13" ht="12.75">
      <c r="B48" s="58"/>
      <c r="C48" s="56"/>
      <c r="D48" s="57"/>
      <c r="E48" s="58"/>
      <c r="F48" s="56"/>
      <c r="G48" s="56"/>
      <c r="H48" s="56"/>
      <c r="I48" s="59"/>
      <c r="J48" s="60"/>
      <c r="K48" s="61"/>
      <c r="M48" s="75"/>
    </row>
    <row r="49" spans="1:13" ht="12.75">
      <c r="A49" s="4" t="s">
        <v>54</v>
      </c>
      <c r="B49" s="58"/>
      <c r="C49" s="56"/>
      <c r="D49" s="57"/>
      <c r="E49" s="58"/>
      <c r="F49" s="85" t="s">
        <v>36</v>
      </c>
      <c r="G49" s="56"/>
      <c r="H49" s="56"/>
      <c r="I49" s="59"/>
      <c r="J49" s="60"/>
      <c r="K49" s="61"/>
      <c r="M49" s="75"/>
    </row>
    <row r="50" spans="1:13" ht="12.75">
      <c r="A50" s="3" t="s">
        <v>52</v>
      </c>
      <c r="B50" s="79">
        <f>25265*1.035*1.0088*1.0294*1.0463+1</f>
        <v>28413.216489911312</v>
      </c>
      <c r="C50" s="56">
        <f>+$C$16</f>
        <v>5531.751154319168</v>
      </c>
      <c r="D50" s="57">
        <f>+B50+C50</f>
        <v>33944.96764423048</v>
      </c>
      <c r="E50" s="58">
        <f>+$E$12*D50</f>
        <v>5091.745146634571</v>
      </c>
      <c r="F50" s="56">
        <f>+$F$14*D50</f>
        <v>1527.5235439903713</v>
      </c>
      <c r="G50" s="56">
        <v>0</v>
      </c>
      <c r="H50" s="56">
        <f>+$H$12*D50</f>
        <v>33.94496764423048</v>
      </c>
      <c r="I50" s="59">
        <f>SUM(E50:H50)</f>
        <v>6653.213658269173</v>
      </c>
      <c r="J50" s="60">
        <f>+C50*(1-$J$14)</f>
        <v>4447.527928072611</v>
      </c>
      <c r="K50" s="61">
        <f>+D50-I50-J50</f>
        <v>22844.226057888693</v>
      </c>
      <c r="M50" s="75"/>
    </row>
    <row r="51" spans="1:13" ht="12.75">
      <c r="A51" s="3" t="s">
        <v>48</v>
      </c>
      <c r="B51" s="58">
        <f>+B50/25</f>
        <v>1136.5286595964526</v>
      </c>
      <c r="C51" s="56">
        <f>+$C$17</f>
        <v>221.2700461727667</v>
      </c>
      <c r="D51" s="57">
        <f>+B51+C51</f>
        <v>1357.7987057692194</v>
      </c>
      <c r="E51" s="58">
        <f>+$E$12*D51</f>
        <v>203.6698058653829</v>
      </c>
      <c r="F51" s="56">
        <f>+$F$14*D51</f>
        <v>61.10094175961487</v>
      </c>
      <c r="G51" s="56">
        <v>0</v>
      </c>
      <c r="H51" s="56">
        <f>+$H$12*D51</f>
        <v>1.3577987057692193</v>
      </c>
      <c r="I51" s="59">
        <f>SUM(E51:H51)</f>
        <v>266.12854633076694</v>
      </c>
      <c r="J51" s="60">
        <f>+C51*(1-$J$14)</f>
        <v>177.90111712290445</v>
      </c>
      <c r="K51" s="61">
        <f>+D51-I51-J51</f>
        <v>913.769042315548</v>
      </c>
      <c r="M51" s="75"/>
    </row>
    <row r="52" spans="1:13" ht="13.5" thickBot="1">
      <c r="A52" s="3"/>
      <c r="B52" s="114"/>
      <c r="C52" s="108"/>
      <c r="D52" s="109"/>
      <c r="E52" s="107"/>
      <c r="F52" s="110"/>
      <c r="G52" s="110"/>
      <c r="H52" s="110"/>
      <c r="I52" s="111"/>
      <c r="J52" s="112"/>
      <c r="K52" s="113"/>
      <c r="M52" s="68"/>
    </row>
    <row r="53" spans="1:11" ht="12.75">
      <c r="A53" s="48"/>
      <c r="B53" s="10"/>
      <c r="C53" s="10"/>
      <c r="D53" s="120"/>
      <c r="E53" s="10"/>
      <c r="F53" s="10"/>
      <c r="G53" s="10"/>
      <c r="H53" s="10"/>
      <c r="I53" s="10"/>
      <c r="J53" s="10"/>
      <c r="K53" s="120"/>
    </row>
    <row r="54" spans="1:11" ht="15.75">
      <c r="A54" s="49" t="s">
        <v>45</v>
      </c>
      <c r="B54" s="10"/>
      <c r="C54" s="10"/>
      <c r="D54" s="120"/>
      <c r="E54" s="10"/>
      <c r="F54" s="10"/>
      <c r="G54" s="10"/>
      <c r="H54" s="10"/>
      <c r="I54" s="10"/>
      <c r="J54" s="10"/>
      <c r="K54" s="120"/>
    </row>
    <row r="55" spans="1:11" ht="15.75">
      <c r="A55" s="48"/>
      <c r="B55" s="69" t="s">
        <v>44</v>
      </c>
      <c r="C55" s="10"/>
      <c r="D55" s="120"/>
      <c r="E55" s="10"/>
      <c r="F55" s="10"/>
      <c r="G55" s="10"/>
      <c r="H55" s="10"/>
      <c r="I55" s="10"/>
      <c r="J55" s="10"/>
      <c r="K55" s="120"/>
    </row>
    <row r="56" spans="1:11" ht="12.75">
      <c r="A56" s="48" t="s">
        <v>49</v>
      </c>
      <c r="B56" s="10"/>
      <c r="C56" s="10"/>
      <c r="D56" s="120"/>
      <c r="E56" s="10"/>
      <c r="F56" s="10"/>
      <c r="G56" s="10"/>
      <c r="H56" s="10"/>
      <c r="I56" s="10"/>
      <c r="J56" s="10"/>
      <c r="K56" s="120"/>
    </row>
    <row r="57" spans="1:11" ht="13.5" thickBot="1">
      <c r="A57" s="46"/>
      <c r="B57" s="10"/>
      <c r="C57" s="10"/>
      <c r="D57" s="120"/>
      <c r="E57" s="10"/>
      <c r="F57" s="10"/>
      <c r="G57" s="10"/>
      <c r="H57" s="10"/>
      <c r="I57" s="10"/>
      <c r="J57" s="10"/>
      <c r="K57" s="120"/>
    </row>
    <row r="58" spans="1:11" ht="12.75">
      <c r="A58" s="46" t="s">
        <v>28</v>
      </c>
      <c r="B58" s="10"/>
      <c r="C58" s="10"/>
      <c r="D58" s="120"/>
      <c r="E58" s="88" t="s">
        <v>67</v>
      </c>
      <c r="F58" s="10"/>
      <c r="G58" s="10"/>
      <c r="H58" s="10"/>
      <c r="I58" s="121">
        <v>5660</v>
      </c>
      <c r="J58" s="122" t="s">
        <v>68</v>
      </c>
      <c r="K58" s="123"/>
    </row>
    <row r="59" spans="1:11" ht="14.25" customHeight="1" thickBot="1">
      <c r="A59" s="78" t="s">
        <v>60</v>
      </c>
      <c r="I59" s="126" t="s">
        <v>69</v>
      </c>
      <c r="J59" s="124"/>
      <c r="K59" s="125"/>
    </row>
    <row r="60" ht="14.25" customHeight="1">
      <c r="A60" s="78" t="s">
        <v>61</v>
      </c>
    </row>
    <row r="61" ht="14.25" customHeight="1">
      <c r="A61" s="78" t="s">
        <v>62</v>
      </c>
    </row>
    <row r="62" ht="14.25" customHeight="1">
      <c r="A62" s="66">
        <v>0</v>
      </c>
    </row>
    <row r="63" ht="14.25" customHeight="1">
      <c r="A63" s="48" t="s">
        <v>41</v>
      </c>
    </row>
    <row r="64" ht="12.75">
      <c r="A64" t="s">
        <v>29</v>
      </c>
    </row>
    <row r="65" ht="12.75">
      <c r="A65" t="s">
        <v>30</v>
      </c>
    </row>
    <row r="66" ht="12.75">
      <c r="A66" s="47" t="s">
        <v>31</v>
      </c>
    </row>
    <row r="67" ht="12.75">
      <c r="A67" s="48"/>
    </row>
    <row r="68" ht="12.75">
      <c r="A68" s="46"/>
    </row>
    <row r="72" ht="12.75">
      <c r="A72" s="47"/>
    </row>
  </sheetData>
  <sheetProtection/>
  <printOptions/>
  <pageMargins left="0.37" right="0.63" top="0.19" bottom="0.13" header="0" footer="0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Walter</cp:lastModifiedBy>
  <cp:lastPrinted>2024-01-09T14:25:29Z</cp:lastPrinted>
  <dcterms:created xsi:type="dcterms:W3CDTF">2006-05-26T22:42:12Z</dcterms:created>
  <dcterms:modified xsi:type="dcterms:W3CDTF">2024-01-09T14:26:52Z</dcterms:modified>
  <cp:category/>
  <cp:version/>
  <cp:contentType/>
  <cp:contentStatus/>
</cp:coreProperties>
</file>